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0" windowWidth="10455" windowHeight="10905"/>
  </bookViews>
  <sheets>
    <sheet name="F14" sheetId="1" r:id="rId1"/>
    <sheet name="Revenue" sheetId="2" r:id="rId2"/>
    <sheet name="Share of capacity" sheetId="3" r:id="rId3"/>
  </sheets>
  <externalReferences>
    <externalReference r:id="rId4"/>
    <externalReference r:id="rId5"/>
    <externalReference r:id="rId6"/>
    <externalReference r:id="rId7"/>
  </externalReferences>
  <definedNames>
    <definedName name="__123Graph_A" hidden="1">[1]CE!#REF!</definedName>
    <definedName name="__123Graph_ASTNPLF" hidden="1">[1]CE!#REF!</definedName>
    <definedName name="__123Graph_B" hidden="1">[1]CE!#REF!</definedName>
    <definedName name="__123Graph_BSTNPLF" hidden="1">[1]CE!#REF!</definedName>
    <definedName name="__123Graph_C" hidden="1">[1]CE!#REF!</definedName>
    <definedName name="__123Graph_CSTNPLF" hidden="1">[1]CE!#REF!</definedName>
    <definedName name="__123Graph_X" hidden="1">[1]CE!#REF!</definedName>
    <definedName name="__123Graph_XSTNPLF" hidden="1">[1]CE!#REF!</definedName>
    <definedName name="_Fill" hidden="1">#REF!</definedName>
    <definedName name="_Order1" hidden="1">255</definedName>
    <definedName name="new" hidden="1">[2]CE!#REF!</definedName>
    <definedName name="_xlnm.Print_Area" localSheetId="0">'F14'!$B$3:$N$16</definedName>
    <definedName name="_xlnm.Print_Area" localSheetId="1">Revenue!$C$4:$F$17</definedName>
    <definedName name="_xlnm.Print_Area" localSheetId="2">'Share of capacity'!$B$4:$G$9</definedName>
    <definedName name="xxxx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E15" i="2"/>
  <c r="D14" i="2" l="1"/>
  <c r="D13" i="2"/>
  <c r="D12" i="2"/>
  <c r="E14" i="1" l="1"/>
  <c r="D11" i="2"/>
  <c r="D10" i="2"/>
  <c r="G17" i="2" s="1"/>
  <c r="D9" i="2" l="1"/>
  <c r="D7" i="2"/>
  <c r="D8" i="2"/>
  <c r="D6" i="2"/>
  <c r="D5" i="2"/>
  <c r="F7" i="2" l="1"/>
  <c r="E7" i="2"/>
  <c r="G12" i="1"/>
  <c r="G10" i="1"/>
  <c r="G14" i="1"/>
  <c r="C14" i="1"/>
  <c r="J14" i="1" s="1"/>
  <c r="E14" i="2"/>
  <c r="C7" i="3" l="1"/>
  <c r="F7" i="3" s="1"/>
  <c r="C5" i="3"/>
  <c r="F6" i="3" s="1"/>
  <c r="L14" i="1"/>
  <c r="N14" i="1" s="1"/>
  <c r="G16" i="1"/>
  <c r="F13" i="2"/>
  <c r="F11" i="2"/>
  <c r="E12" i="1" s="1"/>
  <c r="F8" i="2"/>
  <c r="F5" i="2"/>
  <c r="K12" i="1" s="1"/>
  <c r="L12" i="1" l="1"/>
  <c r="F5" i="3"/>
  <c r="F9" i="3"/>
  <c r="G9" i="3" s="1"/>
  <c r="G5" i="3"/>
  <c r="H10" i="1" s="1"/>
  <c r="C9" i="3"/>
  <c r="G6" i="3" l="1"/>
  <c r="H12" i="1" s="1"/>
  <c r="G7" i="3"/>
  <c r="H14" i="1" s="1"/>
  <c r="E13" i="2"/>
  <c r="E11" i="2"/>
  <c r="E8" i="2"/>
  <c r="E5" i="2"/>
  <c r="K10" i="1" s="1"/>
  <c r="H16" i="1" l="1"/>
  <c r="K16" i="1"/>
  <c r="E10" i="1"/>
  <c r="E16" i="1" s="1"/>
  <c r="E6" i="2"/>
  <c r="M10" i="1" s="1"/>
  <c r="F6" i="2"/>
  <c r="D17" i="2"/>
  <c r="F9" i="2"/>
  <c r="E9" i="2"/>
  <c r="L10" i="1" l="1"/>
  <c r="L16" i="1" s="1"/>
  <c r="M12" i="1"/>
  <c r="M16" i="1" s="1"/>
  <c r="D12" i="1"/>
  <c r="D10" i="1"/>
  <c r="C12" i="1"/>
  <c r="J12" i="1" s="1"/>
  <c r="C10" i="1"/>
  <c r="J10" i="1" s="1"/>
  <c r="F17" i="2"/>
  <c r="E17" i="2"/>
  <c r="N10" i="1" l="1"/>
  <c r="D16" i="1"/>
  <c r="C16" i="1"/>
  <c r="J16" i="1"/>
  <c r="M17" i="1" s="1"/>
  <c r="N12" i="1"/>
  <c r="N16" i="1" s="1"/>
  <c r="N17" i="1" l="1"/>
</calcChain>
</file>

<file path=xl/sharedStrings.xml><?xml version="1.0" encoding="utf-8"?>
<sst xmlns="http://schemas.openxmlformats.org/spreadsheetml/2006/main" count="56" uniqueCount="46">
  <si>
    <t>Total</t>
  </si>
  <si>
    <t>Revenue from Fuel Surcharge</t>
  </si>
  <si>
    <t>Revenue from Energy Charges</t>
  </si>
  <si>
    <t xml:space="preserve">Revenue from Fixed / Capacity Charges </t>
  </si>
  <si>
    <t>Item 3 (specify)</t>
  </si>
  <si>
    <t>Share of Capacity (MW/%)</t>
  </si>
  <si>
    <t>Sales in MU</t>
  </si>
  <si>
    <t>Fuel surcharge per unit, if any (Rs./kWh)</t>
  </si>
  <si>
    <t>Fixed / Capacity Charges (Rs. Crore / year)</t>
  </si>
  <si>
    <t>Full year revenue (Rs. Crore)</t>
  </si>
  <si>
    <t>Relevant sales &amp; load/demand data for revenue calculation</t>
  </si>
  <si>
    <t xml:space="preserve">Components of tariff </t>
  </si>
  <si>
    <t>Beneficiary</t>
  </si>
  <si>
    <t>(Rs. Crore)</t>
  </si>
  <si>
    <t>Form 14: Revenue from Sale of Electricity</t>
  </si>
  <si>
    <t>POWER COMPANY OF KARNATAKA LIMITED (KARNATAKA ESCOMs)</t>
  </si>
  <si>
    <t>Energy charges</t>
  </si>
  <si>
    <t>Fuel surcharge (net off fuel savings )</t>
  </si>
  <si>
    <t>Rs. In Crs.</t>
  </si>
  <si>
    <t>Particulars</t>
  </si>
  <si>
    <t>Incentive Amount</t>
  </si>
  <si>
    <t>Water charges-Ktk</t>
  </si>
  <si>
    <t>Total Revenue</t>
  </si>
  <si>
    <t>Others (Water charges, Addl'n pension liab., Incentive Amount)</t>
  </si>
  <si>
    <t>Revenue from Any Other Charge (Water charges, Addl'n pension liab., Incentive Amount)</t>
  </si>
  <si>
    <t>Energy Charges (incld. Fuel surcharge) (Rs./kWh)</t>
  </si>
  <si>
    <t>PCKL</t>
  </si>
  <si>
    <t>% of capacity</t>
  </si>
  <si>
    <t>Customer</t>
  </si>
  <si>
    <t>Capacity</t>
  </si>
  <si>
    <t>As per Audited Accounts</t>
  </si>
  <si>
    <t>TELANGANA POWER GENERATION CORPORATION LIMITED</t>
  </si>
  <si>
    <t>TGSPDCL</t>
  </si>
  <si>
    <t>TGNPDCL</t>
  </si>
  <si>
    <t>Water charges-TG</t>
  </si>
  <si>
    <t>Additional pension liability
(Over and above schedule)</t>
  </si>
  <si>
    <t>Revenue from sale of solar power</t>
  </si>
  <si>
    <t>TGDISCOMs</t>
  </si>
  <si>
    <t>TGGENCO Capacity</t>
  </si>
  <si>
    <t>FY 2024-25</t>
  </si>
  <si>
    <t>YTPS Unit-2 Infirm Power bill</t>
  </si>
  <si>
    <t>Fixed charges (net off non-tariff income) (excluding Ktk)</t>
  </si>
  <si>
    <t>Karnataka FC (net off non-tariff income)</t>
  </si>
  <si>
    <t>True-up bills of FY 2022-23-TG</t>
  </si>
  <si>
    <t>True-up bills of FY 2022-23-Ktk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</si>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</sst>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&quot;ß&quot;#,##0.00_);\(&quot;ß&quot;#,##0.00\)"/>
    <numFmt numFmtId="167" formatCode="0.00_)"/>
    <numFmt numFmtId="168" formatCode="_(* #,##0.000_);_(* \(#,##0.0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sz val="12"/>
      <name val="Tms Rmn"/>
    </font>
    <font>
      <sz val="10"/>
      <name val="Helv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Times New Roman"/>
      <family val="1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6" fillId="0" borderId="0" applyNumberFormat="0" applyFill="0" applyBorder="0" applyAlignment="0" applyProtection="0"/>
    <xf numFmtId="0" fontId="7" fillId="0" borderId="2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2"/>
    <xf numFmtId="38" fontId="9" fillId="2" borderId="0" applyNumberFormat="0" applyBorder="0" applyAlignment="0" applyProtection="0"/>
    <xf numFmtId="0" fontId="10" fillId="0" borderId="3" applyNumberFormat="0" applyAlignment="0" applyProtection="0">
      <alignment horizontal="left" vertical="center"/>
    </xf>
    <xf numFmtId="0" fontId="10" fillId="0" borderId="4">
      <alignment horizontal="left" vertical="center"/>
    </xf>
    <xf numFmtId="10" fontId="9" fillId="3" borderId="1" applyNumberFormat="0" applyBorder="0" applyAlignment="0" applyProtection="0"/>
    <xf numFmtId="37" fontId="11" fillId="0" borderId="0"/>
    <xf numFmtId="167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13" fillId="0" borderId="0"/>
    <xf numFmtId="166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 applyBorder="0" applyProtection="0"/>
  </cellStyleXfs>
  <cellXfs count="55">
    <xf numFmtId="0" fontId="0" fillId="0" borderId="0" xfId="0"/>
    <xf numFmtId="0" fontId="3" fillId="0" borderId="0" xfId="3" applyFont="1">
      <alignment vertical="center"/>
    </xf>
    <xf numFmtId="0" fontId="4" fillId="0" borderId="0" xfId="3" applyFont="1">
      <alignment vertical="center"/>
    </xf>
    <xf numFmtId="0" fontId="3" fillId="0" borderId="1" xfId="3" applyFont="1" applyBorder="1">
      <alignment vertical="center"/>
    </xf>
    <xf numFmtId="0" fontId="4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horizontal="left" vertical="center" wrapText="1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center" vertical="center"/>
    </xf>
    <xf numFmtId="0" fontId="3" fillId="0" borderId="0" xfId="4" applyFont="1" applyAlignment="1">
      <alignment vertical="center"/>
    </xf>
    <xf numFmtId="0" fontId="4" fillId="0" borderId="0" xfId="3" applyFont="1" applyAlignment="1">
      <alignment horizontal="center" vertical="center"/>
    </xf>
    <xf numFmtId="0" fontId="5" fillId="0" borderId="0" xfId="4" applyFont="1" applyAlignment="1">
      <alignment vertical="center"/>
    </xf>
    <xf numFmtId="0" fontId="15" fillId="0" borderId="0" xfId="0" applyFont="1"/>
    <xf numFmtId="10" fontId="15" fillId="0" borderId="0" xfId="0" applyNumberFormat="1" applyFont="1"/>
    <xf numFmtId="43" fontId="15" fillId="0" borderId="0" xfId="0" applyNumberFormat="1" applyFont="1"/>
    <xf numFmtId="0" fontId="4" fillId="4" borderId="1" xfId="3" applyFont="1" applyFill="1" applyBorder="1">
      <alignment vertical="center"/>
    </xf>
    <xf numFmtId="0" fontId="16" fillId="4" borderId="1" xfId="0" applyFont="1" applyFill="1" applyBorder="1"/>
    <xf numFmtId="43" fontId="15" fillId="0" borderId="1" xfId="0" applyNumberFormat="1" applyFont="1" applyBorder="1"/>
    <xf numFmtId="0" fontId="3" fillId="0" borderId="1" xfId="3" applyFont="1" applyBorder="1" applyAlignment="1">
      <alignment vertical="center" wrapText="1"/>
    </xf>
    <xf numFmtId="0" fontId="15" fillId="0" borderId="1" xfId="0" applyFont="1" applyBorder="1"/>
    <xf numFmtId="43" fontId="4" fillId="4" borderId="1" xfId="3" applyNumberFormat="1" applyFont="1" applyFill="1" applyBorder="1">
      <alignment vertical="center"/>
    </xf>
    <xf numFmtId="0" fontId="15" fillId="0" borderId="1" xfId="0" applyFont="1" applyBorder="1" applyAlignment="1">
      <alignment wrapText="1"/>
    </xf>
    <xf numFmtId="43" fontId="3" fillId="0" borderId="1" xfId="3" applyNumberFormat="1" applyFont="1" applyBorder="1">
      <alignment vertical="center"/>
    </xf>
    <xf numFmtId="43" fontId="4" fillId="0" borderId="1" xfId="3" applyNumberFormat="1" applyFont="1" applyBorder="1">
      <alignment vertical="center"/>
    </xf>
    <xf numFmtId="2" fontId="3" fillId="0" borderId="1" xfId="3" applyNumberFormat="1" applyFont="1" applyBorder="1">
      <alignment vertical="center"/>
    </xf>
    <xf numFmtId="2" fontId="4" fillId="0" borderId="1" xfId="3" applyNumberFormat="1" applyFont="1" applyBorder="1">
      <alignment vertical="center"/>
    </xf>
    <xf numFmtId="168" fontId="3" fillId="0" borderId="1" xfId="3" applyNumberFormat="1" applyFont="1" applyBorder="1">
      <alignment vertical="center"/>
    </xf>
    <xf numFmtId="0" fontId="17" fillId="0" borderId="0" xfId="0" applyFont="1"/>
    <xf numFmtId="0" fontId="18" fillId="0" borderId="0" xfId="3" applyFo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/>
    <xf numFmtId="0" fontId="18" fillId="0" borderId="1" xfId="3" applyFont="1" applyBorder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0" fillId="0" borderId="1" xfId="3" applyFont="1" applyBorder="1">
      <alignment vertical="center"/>
    </xf>
    <xf numFmtId="10" fontId="18" fillId="0" borderId="1" xfId="2" applyNumberFormat="1" applyFont="1" applyBorder="1" applyAlignment="1">
      <alignment vertical="center"/>
    </xf>
    <xf numFmtId="10" fontId="20" fillId="0" borderId="1" xfId="2" applyNumberFormat="1" applyFont="1" applyBorder="1" applyAlignment="1">
      <alignment vertical="center"/>
    </xf>
    <xf numFmtId="10" fontId="3" fillId="0" borderId="1" xfId="3" applyNumberFormat="1" applyFont="1" applyBorder="1">
      <alignment vertical="center"/>
    </xf>
    <xf numFmtId="2" fontId="3" fillId="0" borderId="1" xfId="1" applyNumberFormat="1" applyFont="1" applyBorder="1" applyAlignment="1">
      <alignment vertical="center"/>
    </xf>
    <xf numFmtId="2" fontId="15" fillId="0" borderId="1" xfId="0" applyNumberFormat="1" applyFont="1" applyBorder="1"/>
    <xf numFmtId="2" fontId="15" fillId="0" borderId="1" xfId="1" applyNumberFormat="1" applyFont="1" applyBorder="1"/>
    <xf numFmtId="2" fontId="15" fillId="0" borderId="0" xfId="0" applyNumberFormat="1" applyFont="1"/>
    <xf numFmtId="9" fontId="4" fillId="0" borderId="1" xfId="2" applyFont="1" applyBorder="1" applyAlignment="1">
      <alignment vertical="center"/>
    </xf>
    <xf numFmtId="2" fontId="18" fillId="0" borderId="1" xfId="3" applyNumberFormat="1" applyFont="1" applyBorder="1">
      <alignment vertical="center"/>
    </xf>
    <xf numFmtId="2" fontId="20" fillId="0" borderId="1" xfId="3" applyNumberFormat="1" applyFont="1" applyBorder="1">
      <alignment vertical="center"/>
    </xf>
    <xf numFmtId="164" fontId="3" fillId="0" borderId="0" xfId="3" applyNumberFormat="1" applyFont="1">
      <alignment vertical="center"/>
    </xf>
    <xf numFmtId="0" fontId="4" fillId="0" borderId="1" xfId="3" applyFont="1" applyBorder="1" applyAlignment="1">
      <alignment horizontal="center" vertical="center"/>
    </xf>
    <xf numFmtId="0" fontId="3" fillId="0" borderId="1" xfId="4" applyFont="1" applyBorder="1" applyAlignment="1">
      <alignment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</cellXfs>
  <cellStyles count="73">
    <cellStyle name="Body" xfId="5"/>
    <cellStyle name="Comma" xfId="1" builtinId="3"/>
    <cellStyle name="Comma  - Style1" xfId="6"/>
    <cellStyle name="Comma 11 2" xfId="7"/>
    <cellStyle name="Comma 2" xfId="8"/>
    <cellStyle name="Comma 2 2" xfId="9"/>
    <cellStyle name="Comma 2 2 2" xfId="10"/>
    <cellStyle name="Comma 2 3" xfId="11"/>
    <cellStyle name="Comma 2 4" xfId="12"/>
    <cellStyle name="Comma 3" xfId="13"/>
    <cellStyle name="Comma 3 2" xfId="14"/>
    <cellStyle name="Comma 4" xfId="15"/>
    <cellStyle name="Comma 4 2" xfId="16"/>
    <cellStyle name="Comma 5" xfId="17"/>
    <cellStyle name="Comma 6" xfId="18"/>
    <cellStyle name="Comma 6 2" xfId="19"/>
    <cellStyle name="Comma 6 3" xfId="20"/>
    <cellStyle name="Comma 6 4" xfId="21"/>
    <cellStyle name="Comma 7" xfId="22"/>
    <cellStyle name="Comma 8" xfId="23"/>
    <cellStyle name="Curren - Style2" xfId="24"/>
    <cellStyle name="Grey" xfId="25"/>
    <cellStyle name="Header1" xfId="26"/>
    <cellStyle name="Header2" xfId="27"/>
    <cellStyle name="Input [yellow]" xfId="28"/>
    <cellStyle name="no dec" xfId="29"/>
    <cellStyle name="Normal" xfId="0" builtinId="0"/>
    <cellStyle name="Normal - Style1" xfId="30"/>
    <cellStyle name="Normal 10" xfId="31"/>
    <cellStyle name="Normal 11" xfId="32"/>
    <cellStyle name="Normal 12" xfId="33"/>
    <cellStyle name="Normal 14 2" xfId="34"/>
    <cellStyle name="Normal 15" xfId="35"/>
    <cellStyle name="Normal 18" xfId="36"/>
    <cellStyle name="Normal 2" xfId="4"/>
    <cellStyle name="Normal 2 2" xfId="37"/>
    <cellStyle name="Normal 2 2 2" xfId="38"/>
    <cellStyle name="Normal 2 2 2 2" xfId="39"/>
    <cellStyle name="Normal 2 2_Working APR 2007-08 Mahagenco_Bhushan_1.3" xfId="40"/>
    <cellStyle name="Normal 2 3" xfId="41"/>
    <cellStyle name="Normal 2 4" xfId="42"/>
    <cellStyle name="Normal 2_ARR FINAL" xfId="43"/>
    <cellStyle name="Normal 3" xfId="44"/>
    <cellStyle name="Normal 3 2" xfId="45"/>
    <cellStyle name="Normal 3 2 2" xfId="46"/>
    <cellStyle name="Normal 39" xfId="47"/>
    <cellStyle name="Normal 4" xfId="48"/>
    <cellStyle name="Normal 4 2" xfId="49"/>
    <cellStyle name="Normal 5" xfId="50"/>
    <cellStyle name="Normal 5 2" xfId="51"/>
    <cellStyle name="Normal 6" xfId="52"/>
    <cellStyle name="Normal 7" xfId="53"/>
    <cellStyle name="Normal 8" xfId="54"/>
    <cellStyle name="Normal 9" xfId="55"/>
    <cellStyle name="Normal_FORMATS 5 YEAR ALOKE 2" xfId="3"/>
    <cellStyle name="Percent" xfId="2" builtinId="5"/>
    <cellStyle name="Percent [0]_#6 Temps &amp; Contractors" xfId="56"/>
    <cellStyle name="Percent [2]" xfId="57"/>
    <cellStyle name="Percent 2" xfId="58"/>
    <cellStyle name="Percent 2 2" xfId="59"/>
    <cellStyle name="Percent 2 3" xfId="60"/>
    <cellStyle name="Percent 3" xfId="61"/>
    <cellStyle name="Percent 3 2" xfId="62"/>
    <cellStyle name="Percent 4" xfId="63"/>
    <cellStyle name="Percent 41" xfId="64"/>
    <cellStyle name="Percent 5" xfId="65"/>
    <cellStyle name="Percent 5 2" xfId="66"/>
    <cellStyle name="Percent 5 3" xfId="67"/>
    <cellStyle name="Percent 6" xfId="68"/>
    <cellStyle name="Percent 6 2" xfId="69"/>
    <cellStyle name="Percent 7" xfId="70"/>
    <cellStyle name="Style 1" xfId="71"/>
    <cellStyle name="Style 2" xfId="7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orm-15%20Revenue%20Reconciliation%2024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5-Cons"/>
      <sheetName val="F15-Th."/>
      <sheetName val="F15-Hy."/>
      <sheetName val="Genco avail.-24-25"/>
      <sheetName val="Revenue"/>
      <sheetName val="FC-Apr'24 to Oct'24 (Revised)"/>
    </sheetNames>
    <sheetDataSet>
      <sheetData sheetId="0">
        <row r="21">
          <cell r="G21">
            <v>4929.4986253541956</v>
          </cell>
        </row>
        <row r="22">
          <cell r="G22">
            <v>6595.7507856274087</v>
          </cell>
        </row>
        <row r="23">
          <cell r="G23">
            <v>1795.2004885570059</v>
          </cell>
        </row>
        <row r="24">
          <cell r="G24">
            <v>0</v>
          </cell>
        </row>
        <row r="27">
          <cell r="G27">
            <v>-115.04</v>
          </cell>
        </row>
        <row r="28">
          <cell r="G28">
            <v>193.47</v>
          </cell>
        </row>
        <row r="29">
          <cell r="G29">
            <v>27.15</v>
          </cell>
        </row>
        <row r="30">
          <cell r="G30">
            <v>-3.49</v>
          </cell>
        </row>
        <row r="31">
          <cell r="G31">
            <v>36.78</v>
          </cell>
        </row>
        <row r="32">
          <cell r="G32">
            <v>1669.6</v>
          </cell>
        </row>
        <row r="33">
          <cell r="G33">
            <v>1.59</v>
          </cell>
        </row>
      </sheetData>
      <sheetData sheetId="1"/>
      <sheetData sheetId="2">
        <row r="172">
          <cell r="Q172">
            <v>7.1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O17"/>
  <sheetViews>
    <sheetView showGridLines="0" tabSelected="1" view="pageBreakPreview" zoomScale="90" zoomScaleNormal="90" zoomScaleSheetLayoutView="90" workbookViewId="0">
      <selection activeCell="M17" sqref="M17"/>
    </sheetView>
  </sheetViews>
  <sheetFormatPr defaultColWidth="9.140625" defaultRowHeight="14.25" x14ac:dyDescent="0.25"/>
  <cols>
    <col min="1" max="1" width="9.140625" style="1"/>
    <col min="2" max="2" width="23.5703125" style="1" customWidth="1"/>
    <col min="3" max="3" width="12.28515625" style="1" customWidth="1"/>
    <col min="4" max="4" width="13.85546875" style="1" customWidth="1"/>
    <col min="5" max="5" width="17.85546875" style="1" customWidth="1"/>
    <col min="6" max="6" width="12.28515625" style="1" customWidth="1"/>
    <col min="7" max="7" width="11.7109375" style="1" customWidth="1"/>
    <col min="8" max="9" width="10.28515625" style="1" customWidth="1"/>
    <col min="10" max="11" width="11.85546875" style="1" customWidth="1"/>
    <col min="12" max="12" width="17.140625" style="1" customWidth="1"/>
    <col min="13" max="14" width="11.85546875" style="1" customWidth="1"/>
    <col min="15" max="17" width="9.140625" style="1"/>
    <col min="18" max="18" width="9.42578125" style="1" bestFit="1" customWidth="1"/>
    <col min="19" max="16384" width="9.140625" style="1"/>
  </cols>
  <sheetData>
    <row r="1" spans="2:14" s="13" customFormat="1" ht="15" x14ac:dyDescent="0.25">
      <c r="B1" s="15"/>
    </row>
    <row r="2" spans="2:14" s="13" customFormat="1" ht="15" customHeight="1" x14ac:dyDescent="0.25">
      <c r="B2" s="2"/>
      <c r="C2" s="2"/>
      <c r="D2" s="2"/>
      <c r="E2" s="2"/>
      <c r="F2" s="2"/>
      <c r="G2" s="2"/>
      <c r="H2" s="14"/>
      <c r="I2" s="2"/>
      <c r="J2" s="2"/>
      <c r="K2" s="2"/>
      <c r="L2" s="2"/>
      <c r="M2" s="2"/>
      <c r="N2" s="2"/>
    </row>
    <row r="3" spans="2:14" s="13" customFormat="1" ht="15" customHeight="1" x14ac:dyDescent="0.25">
      <c r="B3" s="2"/>
      <c r="C3" s="2"/>
      <c r="D3" s="2"/>
      <c r="E3" s="2"/>
      <c r="F3" s="2"/>
      <c r="G3" s="2"/>
      <c r="H3" s="14" t="s">
        <v>31</v>
      </c>
      <c r="I3" s="2"/>
      <c r="J3" s="2"/>
      <c r="K3" s="2"/>
      <c r="L3" s="2"/>
      <c r="M3" s="2"/>
      <c r="N3" s="2"/>
    </row>
    <row r="4" spans="2:14" ht="15" x14ac:dyDescent="0.25">
      <c r="H4" s="12" t="s">
        <v>14</v>
      </c>
    </row>
    <row r="5" spans="2:14" ht="15" x14ac:dyDescent="0.25">
      <c r="B5" s="11" t="s">
        <v>39</v>
      </c>
      <c r="N5" s="2" t="s">
        <v>13</v>
      </c>
    </row>
    <row r="6" spans="2:14" ht="15" x14ac:dyDescent="0.25">
      <c r="B6" s="11" t="s">
        <v>30</v>
      </c>
    </row>
    <row r="7" spans="2:14" s="10" customFormat="1" ht="45.75" customHeight="1" x14ac:dyDescent="0.25">
      <c r="B7" s="51" t="s">
        <v>12</v>
      </c>
      <c r="C7" s="53" t="s">
        <v>11</v>
      </c>
      <c r="D7" s="53"/>
      <c r="E7" s="53"/>
      <c r="F7" s="53"/>
      <c r="G7" s="54" t="s">
        <v>10</v>
      </c>
      <c r="H7" s="54"/>
      <c r="I7" s="54"/>
      <c r="J7" s="54" t="s">
        <v>9</v>
      </c>
      <c r="K7" s="54"/>
      <c r="L7" s="54"/>
      <c r="M7" s="54"/>
      <c r="N7" s="54"/>
    </row>
    <row r="8" spans="2:14" ht="122.25" customHeight="1" x14ac:dyDescent="0.25">
      <c r="B8" s="52"/>
      <c r="C8" s="8" t="s">
        <v>8</v>
      </c>
      <c r="D8" s="8" t="s">
        <v>25</v>
      </c>
      <c r="E8" s="8" t="s">
        <v>23</v>
      </c>
      <c r="F8" s="8" t="s">
        <v>7</v>
      </c>
      <c r="G8" s="8" t="s">
        <v>6</v>
      </c>
      <c r="H8" s="8" t="s">
        <v>5</v>
      </c>
      <c r="I8" s="8" t="s">
        <v>4</v>
      </c>
      <c r="J8" s="8" t="s">
        <v>3</v>
      </c>
      <c r="K8" s="8" t="s">
        <v>2</v>
      </c>
      <c r="L8" s="8" t="s">
        <v>24</v>
      </c>
      <c r="M8" s="8" t="s">
        <v>1</v>
      </c>
      <c r="N8" s="7" t="s">
        <v>0</v>
      </c>
    </row>
    <row r="9" spans="2:14" ht="15" x14ac:dyDescent="0.25">
      <c r="B9" s="9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7"/>
    </row>
    <row r="10" spans="2:14" ht="15" x14ac:dyDescent="0.25">
      <c r="B10" s="4" t="s">
        <v>32</v>
      </c>
      <c r="C10" s="26">
        <f>Revenue!E9</f>
        <v>3462.5648101873853</v>
      </c>
      <c r="D10" s="30">
        <f>Revenue!E5+Revenue!E6+Revenue!E7</f>
        <v>5975.148488937104</v>
      </c>
      <c r="E10" s="26">
        <f>Revenue!E11+Revenue!E13+Revenue!E15+Revenue!E14</f>
        <v>1093.49235</v>
      </c>
      <c r="F10" s="26"/>
      <c r="G10" s="28">
        <f>(27540.49-43.024)*70.55%</f>
        <v>19399.462263000001</v>
      </c>
      <c r="H10" s="42">
        <f>'Share of capacity'!G5</f>
        <v>0.69277017423730691</v>
      </c>
      <c r="I10" s="3"/>
      <c r="J10" s="26">
        <f>C10</f>
        <v>3462.5648101873853</v>
      </c>
      <c r="K10" s="26">
        <f>Revenue!E5+Revenue!E7</f>
        <v>4789.7952642601367</v>
      </c>
      <c r="L10" s="26">
        <f>E10</f>
        <v>1093.49235</v>
      </c>
      <c r="M10" s="26">
        <f>Revenue!E6</f>
        <v>1185.3532246769678</v>
      </c>
      <c r="N10" s="26">
        <f>SUM(J10:M10)</f>
        <v>10531.205649124491</v>
      </c>
    </row>
    <row r="11" spans="2:14" ht="15" x14ac:dyDescent="0.25">
      <c r="B11" s="4"/>
      <c r="C11" s="3"/>
      <c r="D11" s="30"/>
      <c r="E11" s="3"/>
      <c r="F11" s="3"/>
      <c r="G11" s="28"/>
      <c r="H11" s="3"/>
      <c r="I11" s="3"/>
      <c r="J11" s="3"/>
      <c r="K11" s="3"/>
      <c r="L11" s="3"/>
      <c r="M11" s="3"/>
      <c r="N11" s="3"/>
    </row>
    <row r="12" spans="2:14" ht="15" x14ac:dyDescent="0.25">
      <c r="B12" s="4" t="s">
        <v>33</v>
      </c>
      <c r="C12" s="26">
        <f>Revenue!F9</f>
        <v>1445.3938151668106</v>
      </c>
      <c r="D12" s="30">
        <f>Revenue!F5+Revenue!F6+Revenue!F7</f>
        <v>2494.2327852473104</v>
      </c>
      <c r="E12" s="26">
        <f>Revenue!F11+Revenue!F13+Revenue!F15</f>
        <v>455.79764999999992</v>
      </c>
      <c r="F12" s="26"/>
      <c r="G12" s="28">
        <f>(27540.49-43.024)*29.45%</f>
        <v>8098.003737</v>
      </c>
      <c r="H12" s="42">
        <f>'Share of capacity'!G6</f>
        <v>0.28918613226489992</v>
      </c>
      <c r="I12" s="3"/>
      <c r="J12" s="26">
        <f>C12</f>
        <v>1445.3938151668106</v>
      </c>
      <c r="K12" s="26">
        <f>Revenue!F5+Revenue!F7</f>
        <v>1999.4255213672718</v>
      </c>
      <c r="L12" s="26">
        <f>E12</f>
        <v>455.79764999999992</v>
      </c>
      <c r="M12" s="26">
        <f>Revenue!F6</f>
        <v>494.80726388003819</v>
      </c>
      <c r="N12" s="26">
        <f>SUM(J12:M12)</f>
        <v>4395.4242504141203</v>
      </c>
    </row>
    <row r="13" spans="2:14" x14ac:dyDescent="0.25">
      <c r="B13" s="6"/>
      <c r="C13" s="3"/>
      <c r="D13" s="3"/>
      <c r="E13" s="3"/>
      <c r="F13" s="3"/>
      <c r="G13" s="28"/>
      <c r="H13" s="3"/>
      <c r="I13" s="3"/>
      <c r="J13" s="3"/>
      <c r="K13" s="3"/>
      <c r="L13" s="3"/>
      <c r="M13" s="3"/>
      <c r="N13" s="3"/>
    </row>
    <row r="14" spans="2:14" ht="75" x14ac:dyDescent="0.25">
      <c r="B14" s="4" t="s">
        <v>15</v>
      </c>
      <c r="C14" s="28">
        <f>Revenue!D10</f>
        <v>45.2</v>
      </c>
      <c r="D14" s="3">
        <v>0</v>
      </c>
      <c r="E14" s="28">
        <f>Revenue!D12+Revenue!D16</f>
        <v>0.45999999999999996</v>
      </c>
      <c r="F14" s="3"/>
      <c r="G14" s="28">
        <f>43.024</f>
        <v>43.024000000000001</v>
      </c>
      <c r="H14" s="42">
        <f>'Share of capacity'!G7</f>
        <v>1.8043693497793115E-2</v>
      </c>
      <c r="I14" s="3"/>
      <c r="J14" s="26">
        <f>C14</f>
        <v>45.2</v>
      </c>
      <c r="K14" s="3">
        <v>0</v>
      </c>
      <c r="L14" s="26">
        <f>E14</f>
        <v>0.45999999999999996</v>
      </c>
      <c r="M14" s="3">
        <v>0</v>
      </c>
      <c r="N14" s="26">
        <f>SUM(J14:M14)</f>
        <v>45.660000000000004</v>
      </c>
    </row>
    <row r="15" spans="2:14" x14ac:dyDescent="0.25">
      <c r="B15" s="5"/>
      <c r="C15" s="3"/>
      <c r="D15" s="3"/>
      <c r="E15" s="3"/>
      <c r="F15" s="3"/>
      <c r="G15" s="28"/>
      <c r="H15" s="3"/>
      <c r="I15" s="3"/>
      <c r="J15" s="3"/>
      <c r="K15" s="3"/>
      <c r="L15" s="3"/>
      <c r="M15" s="3"/>
      <c r="N15" s="3"/>
    </row>
    <row r="16" spans="2:14" ht="15" x14ac:dyDescent="0.25">
      <c r="B16" s="4" t="s">
        <v>0</v>
      </c>
      <c r="C16" s="27">
        <f>SUM(C10:C15)</f>
        <v>4953.1586253541955</v>
      </c>
      <c r="D16" s="27">
        <f>SUM(D10:D15)</f>
        <v>8469.381274184414</v>
      </c>
      <c r="E16" s="27">
        <f>SUM(E10:E15)</f>
        <v>1549.75</v>
      </c>
      <c r="F16" s="27"/>
      <c r="G16" s="29">
        <f>SUM(G10:G15)</f>
        <v>27540.49</v>
      </c>
      <c r="H16" s="47">
        <f>SUM(H9:H15)</f>
        <v>0.99999999999999989</v>
      </c>
      <c r="I16" s="3"/>
      <c r="J16" s="27">
        <f>SUM(J10:J14)</f>
        <v>4953.1586253541955</v>
      </c>
      <c r="K16" s="27">
        <f t="shared" ref="K16:N16" si="0">SUM(K10:K14)</f>
        <v>6789.220785627409</v>
      </c>
      <c r="L16" s="27">
        <f t="shared" si="0"/>
        <v>1549.75</v>
      </c>
      <c r="M16" s="27">
        <f t="shared" si="0"/>
        <v>1680.1604885570059</v>
      </c>
      <c r="N16" s="27">
        <f t="shared" si="0"/>
        <v>14972.289899538611</v>
      </c>
    </row>
    <row r="17" spans="2:15" ht="15" x14ac:dyDescent="0.25">
      <c r="B17" s="2"/>
      <c r="M17" s="50">
        <f>J16+K16+L16</f>
        <v>13292.129410981604</v>
      </c>
      <c r="N17" s="50">
        <f>SUM(C16:F16)-N16</f>
        <v>0</v>
      </c>
      <c r="O17" s="1" t="s">
        <v>45</v>
      </c>
    </row>
  </sheetData>
  <mergeCells count="4">
    <mergeCell ref="B7:B8"/>
    <mergeCell ref="C7:F7"/>
    <mergeCell ref="G7:I7"/>
    <mergeCell ref="J7:N7"/>
  </mergeCells>
  <printOptions horizontalCentered="1"/>
  <pageMargins left="0.11811023622047245" right="0.11811023622047245" top="0.78740157480314965" bottom="0.98425196850393704" header="0.51181102362204722" footer="0.51181102362204722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7"/>
  <sheetViews>
    <sheetView workbookViewId="0">
      <selection activeCell="E7" sqref="E7"/>
    </sheetView>
  </sheetViews>
  <sheetFormatPr defaultRowHeight="14.25" x14ac:dyDescent="0.2"/>
  <cols>
    <col min="1" max="2" width="9.140625" style="16"/>
    <col min="3" max="3" width="41.7109375" style="16" customWidth="1"/>
    <col min="4" max="4" width="13.7109375" style="16" bestFit="1" customWidth="1"/>
    <col min="5" max="5" width="11.5703125" style="16" bestFit="1" customWidth="1"/>
    <col min="6" max="6" width="12.42578125" style="16" customWidth="1"/>
    <col min="7" max="7" width="9.140625" style="16"/>
    <col min="8" max="8" width="10.42578125" style="16" bestFit="1" customWidth="1"/>
    <col min="9" max="16384" width="9.140625" style="16"/>
  </cols>
  <sheetData>
    <row r="3" spans="3:9" x14ac:dyDescent="0.2">
      <c r="E3" s="17">
        <v>0.70550000000000002</v>
      </c>
      <c r="F3" s="17">
        <v>0.29449999999999998</v>
      </c>
    </row>
    <row r="4" spans="3:9" ht="15" x14ac:dyDescent="0.25">
      <c r="C4" s="19" t="s">
        <v>19</v>
      </c>
      <c r="D4" s="19" t="s">
        <v>18</v>
      </c>
      <c r="E4" s="20" t="s">
        <v>32</v>
      </c>
      <c r="F4" s="20" t="s">
        <v>33</v>
      </c>
    </row>
    <row r="5" spans="3:9" x14ac:dyDescent="0.2">
      <c r="C5" s="3" t="s">
        <v>16</v>
      </c>
      <c r="D5" s="43">
        <f>'[4]F15-Cons'!$G$22</f>
        <v>6595.7507856274087</v>
      </c>
      <c r="E5" s="21">
        <f>D5*E$3</f>
        <v>4653.3021792601367</v>
      </c>
      <c r="F5" s="21">
        <f>D5*F$3</f>
        <v>1942.4486063672719</v>
      </c>
    </row>
    <row r="6" spans="3:9" x14ac:dyDescent="0.2">
      <c r="C6" s="22" t="s">
        <v>17</v>
      </c>
      <c r="D6" s="44">
        <f>'[4]F15-Cons'!$G$23+'[4]F15-Cons'!$G$27</f>
        <v>1680.1604885570059</v>
      </c>
      <c r="E6" s="21">
        <f>D6*E$3</f>
        <v>1185.3532246769678</v>
      </c>
      <c r="F6" s="21">
        <f>D6*F$3</f>
        <v>494.80726388003819</v>
      </c>
    </row>
    <row r="7" spans="3:9" x14ac:dyDescent="0.2">
      <c r="C7" s="22" t="s">
        <v>40</v>
      </c>
      <c r="D7" s="44">
        <f>'[4]F15-Cons'!$G$28</f>
        <v>193.47</v>
      </c>
      <c r="E7" s="21">
        <f>D7*E$3</f>
        <v>136.49308500000001</v>
      </c>
      <c r="F7" s="21">
        <f>D7*F$3</f>
        <v>56.976914999999998</v>
      </c>
    </row>
    <row r="8" spans="3:9" x14ac:dyDescent="0.2">
      <c r="C8" s="23" t="s">
        <v>20</v>
      </c>
      <c r="D8" s="45">
        <f>'[4]F15-Cons'!$G$24</f>
        <v>0</v>
      </c>
      <c r="E8" s="21">
        <f>D8*E$3</f>
        <v>0</v>
      </c>
      <c r="F8" s="21">
        <f>D8*F$3</f>
        <v>0</v>
      </c>
    </row>
    <row r="9" spans="3:9" ht="28.5" x14ac:dyDescent="0.2">
      <c r="C9" s="22" t="s">
        <v>41</v>
      </c>
      <c r="D9" s="45">
        <f>'[4]F15-Cons'!$G$21+'[4]F15-Cons'!$G$29+'[4]F15-Cons'!$G$30-D10</f>
        <v>4907.9586253541956</v>
      </c>
      <c r="E9" s="21">
        <f>D9*E$3</f>
        <v>3462.5648101873853</v>
      </c>
      <c r="F9" s="21">
        <f>D9*F$3</f>
        <v>1445.3938151668106</v>
      </c>
      <c r="H9" s="18"/>
      <c r="I9" s="18"/>
    </row>
    <row r="10" spans="3:9" x14ac:dyDescent="0.2">
      <c r="C10" s="25" t="s">
        <v>42</v>
      </c>
      <c r="D10" s="44">
        <f>45.2</f>
        <v>45.2</v>
      </c>
      <c r="E10" s="23">
        <v>0</v>
      </c>
      <c r="F10" s="23">
        <v>0</v>
      </c>
    </row>
    <row r="11" spans="3:9" x14ac:dyDescent="0.2">
      <c r="C11" s="23" t="s">
        <v>34</v>
      </c>
      <c r="D11" s="44">
        <f>'[4]F15-Cons'!$G$31-D12</f>
        <v>33.230000000000004</v>
      </c>
      <c r="E11" s="21">
        <f>D11*E$3</f>
        <v>23.443765000000003</v>
      </c>
      <c r="F11" s="21">
        <f>D11*F$3</f>
        <v>9.7862350000000013</v>
      </c>
    </row>
    <row r="12" spans="3:9" x14ac:dyDescent="0.2">
      <c r="C12" s="23" t="s">
        <v>21</v>
      </c>
      <c r="D12" s="44">
        <f>'[4]F15-Hy.'!$Q$172/2</f>
        <v>3.55</v>
      </c>
      <c r="E12" s="23">
        <v>0</v>
      </c>
      <c r="F12" s="23">
        <v>0</v>
      </c>
    </row>
    <row r="13" spans="3:9" ht="28.5" x14ac:dyDescent="0.2">
      <c r="C13" s="25" t="s">
        <v>35</v>
      </c>
      <c r="D13" s="44">
        <f>'[4]F15-Cons'!$G$32</f>
        <v>1669.6</v>
      </c>
      <c r="E13" s="21">
        <f>D13*E$3</f>
        <v>1177.9028000000001</v>
      </c>
      <c r="F13" s="21">
        <f>D13*F$3</f>
        <v>491.69719999999995</v>
      </c>
    </row>
    <row r="14" spans="3:9" x14ac:dyDescent="0.2">
      <c r="C14" s="25" t="s">
        <v>36</v>
      </c>
      <c r="D14" s="44">
        <f>'[4]F15-Cons'!$G$33</f>
        <v>1.59</v>
      </c>
      <c r="E14" s="21">
        <f>D14</f>
        <v>1.59</v>
      </c>
      <c r="F14" s="21">
        <v>0</v>
      </c>
    </row>
    <row r="15" spans="3:9" x14ac:dyDescent="0.2">
      <c r="C15" s="25" t="s">
        <v>43</v>
      </c>
      <c r="D15" s="21">
        <v>-155.13</v>
      </c>
      <c r="E15" s="21">
        <f>D15*E$3</f>
        <v>-109.444215</v>
      </c>
      <c r="F15" s="21">
        <f>D15*F$3</f>
        <v>-45.685784999999996</v>
      </c>
    </row>
    <row r="16" spans="3:9" x14ac:dyDescent="0.2">
      <c r="C16" s="25" t="s">
        <v>44</v>
      </c>
      <c r="D16" s="21">
        <v>-3.09</v>
      </c>
      <c r="E16" s="23">
        <v>0</v>
      </c>
      <c r="F16" s="23">
        <v>0</v>
      </c>
    </row>
    <row r="17" spans="3:8" ht="15" x14ac:dyDescent="0.2">
      <c r="C17" s="19" t="s">
        <v>22</v>
      </c>
      <c r="D17" s="24">
        <f>SUM(D5:D16)</f>
        <v>14972.289899538609</v>
      </c>
      <c r="E17" s="24">
        <f>SUM(E5:E16)</f>
        <v>10531.205649124489</v>
      </c>
      <c r="F17" s="24">
        <f>SUM(F5:F16)</f>
        <v>4395.4242504141212</v>
      </c>
      <c r="G17" s="46">
        <f>D10+D12+D16</f>
        <v>45.66</v>
      </c>
      <c r="H17" s="16" t="s">
        <v>26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workbookViewId="0">
      <selection activeCell="B4" sqref="B4:G9"/>
    </sheetView>
  </sheetViews>
  <sheetFormatPr defaultRowHeight="15.75" x14ac:dyDescent="0.25"/>
  <cols>
    <col min="1" max="1" width="9.140625" style="31"/>
    <col min="2" max="2" width="12.28515625" style="31" customWidth="1"/>
    <col min="3" max="3" width="12.140625" style="31" customWidth="1"/>
    <col min="4" max="4" width="1.7109375" style="31" customWidth="1"/>
    <col min="5" max="5" width="12.85546875" style="31" customWidth="1"/>
    <col min="6" max="6" width="9.140625" style="31"/>
    <col min="7" max="7" width="12.28515625" style="31" customWidth="1"/>
    <col min="8" max="16384" width="9.140625" style="31"/>
  </cols>
  <sheetData>
    <row r="4" spans="2:7" ht="31.5" x14ac:dyDescent="0.25">
      <c r="B4" s="36" t="s">
        <v>28</v>
      </c>
      <c r="C4" s="37" t="s">
        <v>38</v>
      </c>
      <c r="D4" s="33"/>
      <c r="E4" s="37" t="s">
        <v>28</v>
      </c>
      <c r="F4" s="37" t="s">
        <v>29</v>
      </c>
      <c r="G4" s="37" t="s">
        <v>27</v>
      </c>
    </row>
    <row r="5" spans="2:7" x14ac:dyDescent="0.25">
      <c r="B5" s="34" t="s">
        <v>37</v>
      </c>
      <c r="C5" s="35">
        <f>4042.5+2441.76-(234*0.5)</f>
        <v>6367.26</v>
      </c>
      <c r="D5" s="32"/>
      <c r="E5" s="35" t="s">
        <v>32</v>
      </c>
      <c r="F5" s="48">
        <f>C5*70.55%</f>
        <v>4492.1019299999998</v>
      </c>
      <c r="G5" s="40">
        <f>F5/$F$9</f>
        <v>0.69277017423730691</v>
      </c>
    </row>
    <row r="6" spans="2:7" x14ac:dyDescent="0.25">
      <c r="B6" s="34"/>
      <c r="C6" s="35"/>
      <c r="D6" s="32"/>
      <c r="E6" s="35" t="s">
        <v>33</v>
      </c>
      <c r="F6" s="48">
        <f>C5*29.45%</f>
        <v>1875.15807</v>
      </c>
      <c r="G6" s="40">
        <f>F6/$F$9</f>
        <v>0.28918613226489992</v>
      </c>
    </row>
    <row r="7" spans="2:7" x14ac:dyDescent="0.25">
      <c r="B7" s="34" t="s">
        <v>26</v>
      </c>
      <c r="C7" s="35">
        <f>(234*0.5)</f>
        <v>117</v>
      </c>
      <c r="D7" s="32"/>
      <c r="E7" s="35" t="s">
        <v>26</v>
      </c>
      <c r="F7" s="48">
        <f>C7</f>
        <v>117</v>
      </c>
      <c r="G7" s="40">
        <f>F7/$F$9</f>
        <v>1.8043693497793115E-2</v>
      </c>
    </row>
    <row r="8" spans="2:7" x14ac:dyDescent="0.25">
      <c r="B8" s="34"/>
      <c r="C8" s="35"/>
      <c r="D8" s="32"/>
      <c r="E8" s="35"/>
      <c r="F8" s="48"/>
      <c r="G8" s="40"/>
    </row>
    <row r="9" spans="2:7" x14ac:dyDescent="0.25">
      <c r="B9" s="38" t="s">
        <v>0</v>
      </c>
      <c r="C9" s="39">
        <f>SUM(C5:C8)</f>
        <v>6484.26</v>
      </c>
      <c r="D9" s="32"/>
      <c r="E9" s="38" t="s">
        <v>0</v>
      </c>
      <c r="F9" s="49">
        <f>SUM(F5:F8)</f>
        <v>6484.26</v>
      </c>
      <c r="G9" s="41">
        <f>F9/$F$9</f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F14</vt:lpstr>
      <vt:lpstr>Revenue</vt:lpstr>
      <vt:lpstr>Share of capacity</vt:lpstr>
      <vt:lpstr>'F14'!Print_Area</vt:lpstr>
      <vt:lpstr>Revenue!Print_Area</vt:lpstr>
      <vt:lpstr>'Share of capacity'!Print_Area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Priyanka Verma</dc:creator>
  <cp:lastModifiedBy>AE COMMERCIAL</cp:lastModifiedBy>
  <cp:lastPrinted>2025-11-28T13:43:13Z</cp:lastPrinted>
  <dcterms:created xsi:type="dcterms:W3CDTF">2023-12-29T05:17:23Z</dcterms:created>
  <dcterms:modified xsi:type="dcterms:W3CDTF">2025-11-28T13:43:17Z</dcterms:modified>
</cp:coreProperties>
</file>